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0" windowWidth="20736" windowHeight="9492" tabRatio="818" firstSheet="1" activeTab="6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/>
</workbook>
</file>

<file path=xl/calcChain.xml><?xml version="1.0" encoding="utf-8"?>
<calcChain xmlns="http://schemas.openxmlformats.org/spreadsheetml/2006/main">
  <c r="G40" i="15" l="1"/>
  <c r="C13" i="16" l="1"/>
  <c r="C8" i="16"/>
  <c r="C14" i="16"/>
  <c r="C11" i="16"/>
  <c r="C10" i="16"/>
  <c r="C12" i="16"/>
  <c r="C9" i="16" l="1"/>
  <c r="C7" i="16"/>
  <c r="F29" i="18" l="1"/>
  <c r="E11" i="26" l="1"/>
  <c r="F20" i="26" s="1"/>
  <c r="E7" i="26"/>
  <c r="C18" i="20"/>
  <c r="C14" i="20"/>
  <c r="E12" i="21"/>
  <c r="C10" i="20" l="1"/>
  <c r="D33" i="18" l="1"/>
  <c r="D22" i="18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ônibus ano 2011 cotado e considerando uma vida útil de mais 13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PARA ONIBUS E SIMILARES R$ 10,57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<sst xmlns="http://schemas.openxmlformats.org/spreadsheetml/2006/main" count="294" uniqueCount="267">
  <si>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</si>
  <si>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</si>
  <si>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</si>
  <si>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</si>
  <si>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</si>
  <si>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</si>
  <si>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</si>
  <si>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</si>
  <si>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</si>
  <si>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</si>
  <si>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</si>
  <si>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</si>
  <si>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</si>
  <si>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</si>
  <si>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</si>
  <si>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</si>
  <si>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</si>
  <si>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</si>
  <si>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</si>
  <si>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</si>
  <si>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</si>
  <si>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</si>
  <si>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</si>
  <si>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</si>
  <si>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</si>
  <si>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</si>
  <si>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</si>
  <si>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</si>
  <si>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</si>
  <si>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</si>
  <si>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</si>
  <si>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</si>
  <si>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</si>
  <si>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</si>
  <si>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</si>
  <si>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</si>
  <si>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</si>
  <si>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</si>
  <si>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</si>
  <si>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</si>
  <si>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</si>
  <si>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</si>
  <si>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</si>
  <si>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</si>
  <si>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</si>
  <si>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</si>
  <si>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</si>
  <si>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</si>
  <si>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</si>
  <si>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</si>
  <si>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</si>
  <si>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</si>
  <si>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</si>
  <si>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</si>
  <si>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</si>
  <si>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</si>
  <si>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</si>
  <si>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</si>
  <si>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</si>
  <si>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</si>
  <si>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</si>
  <si>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</si>
  <si>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</si>
  <si>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</si>
  <si>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</si>
  <si>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</si>
  <si>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</si>
  <si>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</si>
  <si>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</si>
  <si>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</si>
  <si>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</si>
  <si>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</si>
  <si>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</si>
  <si>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</si>
  <si>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</si>
  <si>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</si>
  <si>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</si>
  <si>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</si>
  <si>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</si>
  <si>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</si>
  <si>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</si>
  <si>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</si>
  <si>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</si>
  <si>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</si>
  <si>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</si>
  <si>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</si>
  <si>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</si>
  <si>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</si>
  <si>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</si>
  <si>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</si>
  <si>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</si>
  <si>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</si>
  <si>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</si>
  <si>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</si>
  <si>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</si>
  <si>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</si>
  <si>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</si>
  <si>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</si>
  <si>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</si>
  <si>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</si>
  <si>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</si>
  <si>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</si>
  <si>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</si>
  <si>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</si>
  <si>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</si>
  <si>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</si>
  <si>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</si>
  <si>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</si>
  <si>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</si>
  <si>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</si>
  <si>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</si>
  <si>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</si>
  <si>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</si>
  <si>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</si>
  <si>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</si>
  <si>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</si>
  <si>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</si>
  <si>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</si>
  <si>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</si>
  <si>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</si>
  <si>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</si>
  <si>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</si>
  <si>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</si>
  <si>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</si>
  <si>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</si>
  <si>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</si>
  <si>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</si>
  <si>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</si>
  <si>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</si>
  <si>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</si>
  <si>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</si>
  <si>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</si>
  <si>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</si>
  <si>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</si>
  <si>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</si>
  <si>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</si>
  <si>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</si>
  <si>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</si>
  <si>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</si>
  <si>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</si>
  <si>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</si>
  <si>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</si>
  <si>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</si>
  <si>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</si>
  <si>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</si>
  <si>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</si>
  <si>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</si>
  <si>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</si>
  <si>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</si>
  <si>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</si>
  <si>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</si>
  <si>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</si>
  <si>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</si>
  <si>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</si>
  <si>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</si>
  <si>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</si>
  <si>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</si>
  <si>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</si>
  <si>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</si>
  <si>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</si>
  <si>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</si>
  <si>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</si>
  <si>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</si>
  <si>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</si>
  <si>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</si>
  <si>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</si>
  <si>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</si>
  <si>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</si>
  <si>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</si>
  <si>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</si>
  <si>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</si>
  <si>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</si>
  <si>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</si>
  <si>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</si>
  <si>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</si>
  <si>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</si>
  <si>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</si>
  <si>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</si>
  <si>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</si>
  <si>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</si>
  <si>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</si>
  <si>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</si>
  <si>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</si>
  <si>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</si>
  <si>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</si>
  <si>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</si>
  <si>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</si>
  <si>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</si>
  <si>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</si>
  <si>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</si>
  <si>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</si>
  <si>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t>CBO-7824-05</t>
  </si>
  <si>
    <t xml:space="preserve">Motorista Onibus </t>
  </si>
  <si>
    <t>Quantidade de condutores para o onibus =</t>
  </si>
  <si>
    <t>Quantidade de onibus =</t>
  </si>
  <si>
    <t>Valor residual do Onibus(%) =</t>
  </si>
  <si>
    <t>Custo total mensal do onibus (R$) =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</si>
  <si>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</si>
  <si>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</si>
  <si>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</si>
  <si>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Consumo anual por Onibus =</t>
  </si>
  <si>
    <t>Lavagem</t>
  </si>
  <si>
    <t>Quantidadade de Lavagens no ano =</t>
  </si>
  <si>
    <t>IPVA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</si>
  <si>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</si>
  <si>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</si>
  <si>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</si>
  <si>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</si>
  <si>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</si>
  <si>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</si>
  <si>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</si>
  <si>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</si>
  <si>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</si>
  <si>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</si>
  <si>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</si>
  <si>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 xml:space="preserve">   Consumo diário por Onibus (sacos)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</si>
  <si>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</si>
  <si>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</si>
  <si>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</si>
  <si>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</si>
  <si>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</si>
  <si>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</si>
  <si>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</si>
  <si>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</si>
  <si>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</si>
  <si>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ÔNIBUS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</si>
  <si>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</si>
  <si>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</si>
  <si>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</si>
  <si>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</si>
  <si>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</si>
  <si>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</si>
  <si>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</si>
  <si>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</si>
  <si>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</si>
  <si>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</si>
  <si>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</si>
  <si>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</si>
  <si>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</si>
  <si>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</si>
  <si>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</si>
  <si>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</si>
  <si>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</si>
  <si>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</si>
  <si>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</si>
  <si>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</si>
  <si>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</si>
  <si>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</si>
  <si>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</si>
  <si>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</si>
  <si>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</si>
  <si>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</si>
  <si>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</si>
  <si>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</si>
  <si>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</si>
  <si>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</si>
  <si>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</si>
  <si>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</si>
  <si>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</si>
  <si>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</si>
  <si>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</si>
  <si>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</si>
  <si>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</si>
  <si>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</si>
  <si>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DPVAT</t>
  </si>
  <si>
    <t>Custo unitário do onibus 40 lugares (R$) =</t>
  </si>
  <si>
    <t>A empresa deverá realizar semanalmente a lavagem completa do veículo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</si>
</sst>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36" fillId="0" borderId="8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3" xfId="0" applyFont="1" applyBorder="1" applyAlignment="1">
      <alignment horizontal="right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5" xfId="0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view="pageBreakPreview" topLeftCell="A19" zoomScaleNormal="100" zoomScaleSheetLayoutView="100" workbookViewId="0">
      <selection activeCell="G41" sqref="G41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67"/>
      <c r="C3" s="567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243</v>
      </c>
      <c r="C5" s="69"/>
      <c r="D5" s="69"/>
      <c r="E5" s="69"/>
      <c r="F5" s="69"/>
      <c r="G5" s="69"/>
      <c r="H5" s="571"/>
      <c r="I5" s="572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73" t="s">
        <v>35</v>
      </c>
      <c r="D8" s="573"/>
      <c r="E8" s="574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4852.0460000000003</v>
      </c>
      <c r="G10" s="93">
        <f>F10/F$34</f>
        <v>0.28657073175752457</v>
      </c>
      <c r="H10" s="65" t="s">
        <v>240</v>
      </c>
      <c r="I10" s="437">
        <f>F38*10</f>
        <v>180121.36243548026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2.7953571930128306E-3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231</v>
      </c>
      <c r="I12" s="381">
        <f>F38</f>
        <v>18012.136243548026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75" t="s">
        <v>93</v>
      </c>
      <c r="D15" s="576"/>
      <c r="E15" s="577"/>
      <c r="F15" s="114">
        <f>SUM(F10:F14)</f>
        <v>4899.3753333333334</v>
      </c>
      <c r="G15" s="115">
        <f>F15/F$34</f>
        <v>0.28936608895053739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78" t="s">
        <v>19</v>
      </c>
      <c r="C17" s="579"/>
      <c r="D17" s="579"/>
      <c r="E17" s="580"/>
      <c r="F17" s="121"/>
      <c r="G17" s="571"/>
      <c r="H17" s="581"/>
      <c r="I17" s="572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ÔNIBUS</v>
      </c>
      <c r="D19" s="126"/>
      <c r="E19" s="91"/>
      <c r="F19" s="92">
        <f>'2-Dimensionamento'!G39</f>
        <v>3033.7655279923079</v>
      </c>
      <c r="G19" s="127">
        <f>F19/F$34</f>
        <v>0.17917975372399778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5943.2000000000007</v>
      </c>
      <c r="G20" s="135">
        <f>F20/F$34</f>
        <v>0.35101628735204082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738.74400000000003</v>
      </c>
      <c r="G21" s="135">
        <f>F21/F$34</f>
        <v>4.3631574940031635E-2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68" t="s">
        <v>49</v>
      </c>
      <c r="D26" s="569"/>
      <c r="E26" s="570"/>
      <c r="F26" s="142">
        <f>F15+F19+F20+F21</f>
        <v>14615.084861325642</v>
      </c>
      <c r="G26" s="152">
        <f>F26/F34</f>
        <v>0.86319370496660763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588" t="s">
        <v>48</v>
      </c>
      <c r="D28" s="589"/>
      <c r="E28" s="590"/>
      <c r="F28" s="106">
        <f>'7-Despesas Indiretas'!C17</f>
        <v>1118.3773916666667</v>
      </c>
      <c r="G28" s="135">
        <f>F28/F$34</f>
        <v>6.6053419013543627E-2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588" t="s">
        <v>151</v>
      </c>
      <c r="D30" s="589"/>
      <c r="E30" s="590"/>
      <c r="F30" s="310">
        <v>7.6139999999999999E-2</v>
      </c>
      <c r="G30" s="311">
        <f>(F32-F28)/F34</f>
        <v>7.0752876019848712E-2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91" t="s">
        <v>174</v>
      </c>
      <c r="D32" s="592"/>
      <c r="E32" s="593"/>
      <c r="F32" s="134">
        <f>(F26+F28)*F30+F28</f>
        <v>2316.323207609501</v>
      </c>
      <c r="G32" s="152">
        <f>G28+G30</f>
        <v>0.13680629503339234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596" t="s">
        <v>91</v>
      </c>
      <c r="D34" s="597"/>
      <c r="E34" s="598"/>
      <c r="F34" s="157">
        <f>F26+F32</f>
        <v>16931.408068935143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603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604"/>
      <c r="F38" s="594">
        <f>F34*D46</f>
        <v>18012.136243548026</v>
      </c>
      <c r="G38" s="595"/>
      <c r="H38" s="490">
        <f>F38/G42</f>
        <v>7.8313635841513154</v>
      </c>
      <c r="I38" s="170" t="s">
        <v>239</v>
      </c>
    </row>
    <row r="39" spans="2:9">
      <c r="B39" s="102">
        <v>2</v>
      </c>
      <c r="C39" s="171" t="s">
        <v>42</v>
      </c>
      <c r="D39" s="304">
        <v>2E-3</v>
      </c>
      <c r="E39" s="605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82" t="s">
        <v>236</v>
      </c>
      <c r="F40" s="583"/>
      <c r="G40" s="436">
        <f>'2-Dimensionamento'!F11</f>
        <v>115</v>
      </c>
      <c r="H40" s="601" t="s">
        <v>248</v>
      </c>
      <c r="I40" s="602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84" t="s">
        <v>237</v>
      </c>
      <c r="F42" s="585"/>
      <c r="G42" s="436">
        <f>G40*20</f>
        <v>2300</v>
      </c>
      <c r="H42" s="599">
        <f>F38/20</f>
        <v>900.60681217740125</v>
      </c>
      <c r="I42" s="600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238</v>
      </c>
      <c r="F44" s="69"/>
      <c r="G44" s="480">
        <f>G42*10</f>
        <v>23000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586">
        <v>44927</v>
      </c>
      <c r="I45" s="587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66" t="s">
        <v>118</v>
      </c>
      <c r="C47" s="566"/>
      <c r="D47" s="566"/>
      <c r="E47" s="566"/>
      <c r="F47" s="566"/>
      <c r="G47" s="566"/>
      <c r="H47" s="566"/>
      <c r="I47" s="566"/>
    </row>
    <row r="48" spans="2:9" ht="14.4">
      <c r="B48" s="348" t="s">
        <v>152</v>
      </c>
      <c r="C48" s="348"/>
      <c r="D48" s="348"/>
      <c r="E48" s="348"/>
    </row>
  </sheetData>
  <mergeCells count="19">
    <mergeCell ref="H42:I42"/>
    <mergeCell ref="H40:I40"/>
    <mergeCell ref="E37:E39"/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  <mergeCell ref="C32:E32"/>
    <mergeCell ref="F38:G38"/>
    <mergeCell ref="C34:E34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31" sqref="B31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255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263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199</v>
      </c>
    </row>
    <row r="11" spans="1:4">
      <c r="A11" s="500" t="s">
        <v>250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A4" zoomScaleNormal="100" workbookViewId="0">
      <selection activeCell="G11" sqref="G11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10" t="s">
        <v>153</v>
      </c>
      <c r="C4" s="510"/>
      <c r="D4" s="510"/>
      <c r="E4" s="510"/>
      <c r="F4" s="510"/>
    </row>
    <row r="5" spans="1:14" ht="14.4" thickBot="1"/>
    <row r="6" spans="1:14">
      <c r="A6" s="52"/>
      <c r="B6" s="193" t="s">
        <v>154</v>
      </c>
      <c r="C6" s="194" t="s">
        <v>244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1" t="s">
        <v>132</v>
      </c>
      <c r="C8" s="512"/>
      <c r="D8" s="514" t="s">
        <v>185</v>
      </c>
      <c r="E8" s="514"/>
      <c r="F8" s="514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1" t="s">
        <v>133</v>
      </c>
      <c r="C9" s="512"/>
      <c r="D9" s="515" t="s">
        <v>186</v>
      </c>
      <c r="E9" s="515"/>
      <c r="F9" s="515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1" t="s">
        <v>134</v>
      </c>
      <c r="C10" s="512"/>
      <c r="D10" s="516">
        <v>200</v>
      </c>
      <c r="E10" s="516"/>
      <c r="F10" s="516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02" t="s">
        <v>187</v>
      </c>
      <c r="C11" s="503"/>
      <c r="D11" s="503"/>
      <c r="E11" s="504"/>
      <c r="F11" s="435">
        <v>115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08"/>
      <c r="D12" s="508"/>
      <c r="E12" s="508"/>
      <c r="F12" s="221"/>
      <c r="G12" s="202"/>
      <c r="H12" s="199"/>
      <c r="I12" s="507"/>
      <c r="J12" s="507"/>
      <c r="K12" s="507"/>
      <c r="L12" s="507"/>
      <c r="M12" s="507"/>
      <c r="N12" s="197"/>
    </row>
    <row r="13" spans="1:14">
      <c r="A13" s="52"/>
      <c r="B13" s="198"/>
      <c r="C13" s="508"/>
      <c r="D13" s="508"/>
      <c r="E13" s="508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09"/>
      <c r="D14" s="509"/>
      <c r="E14" s="509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254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13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13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13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17" t="s">
        <v>83</v>
      </c>
      <c r="C23" s="505"/>
      <c r="D23" s="505"/>
      <c r="E23" s="505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225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193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194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265</v>
      </c>
      <c r="D30" s="506"/>
      <c r="E30" s="506"/>
      <c r="F30" s="506"/>
      <c r="G30" s="393">
        <v>87828.67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156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195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251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2377.2800000000002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253.35193269230766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403.13359529999997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5" t="s">
        <v>196</v>
      </c>
      <c r="D39" s="505"/>
      <c r="E39" s="505"/>
      <c r="F39" s="505"/>
      <c r="G39" s="398">
        <f>G34+G35+G37</f>
        <v>3033.7655279923079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197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253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247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241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252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242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198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  <mergeCell ref="B4:F4"/>
    <mergeCell ref="B8:C8"/>
    <mergeCell ref="B9:C9"/>
    <mergeCell ref="B20:E20"/>
    <mergeCell ref="B21:E21"/>
    <mergeCell ref="B10:C10"/>
    <mergeCell ref="I12:M12"/>
    <mergeCell ref="C17:E17"/>
    <mergeCell ref="C12:E12"/>
    <mergeCell ref="C13:E13"/>
    <mergeCell ref="C14:E14"/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31" zoomScale="110" zoomScaleNormal="110" workbookViewId="0">
      <selection activeCell="A58" sqref="A58:F59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191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2660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192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217</v>
      </c>
      <c r="C18" s="26" t="s">
        <v>218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f>D11</f>
        <v>2660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26.6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19.950000000000003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2660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1684.046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4344.0460000000003</v>
      </c>
      <c r="G31" s="16"/>
    </row>
    <row r="32" spans="1:7" ht="18" customHeight="1" thickBot="1">
      <c r="A32" s="52"/>
      <c r="B32" s="11"/>
      <c r="C32" s="2" t="s">
        <v>219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220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4852.0460000000003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4852.0460000000003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4852.0460000000003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217</v>
      </c>
      <c r="C45" s="48" t="str">
        <f>C18</f>
        <v>MOTORISTA</v>
      </c>
      <c r="D45" s="1">
        <f>F38</f>
        <v>4852.0460000000003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4852.0460000000003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256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258</v>
      </c>
      <c r="B62" s="518"/>
      <c r="C62" s="518"/>
      <c r="D62" s="518"/>
      <c r="E62" s="518"/>
      <c r="F62" s="518"/>
      <c r="G62" s="367" t="s">
        <v>257</v>
      </c>
    </row>
    <row r="63" spans="1:8" ht="3.6" customHeight="1">
      <c r="A63" s="518" t="s">
        <v>221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4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249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210</v>
      </c>
      <c r="E5" s="236">
        <v>1</v>
      </c>
      <c r="F5" s="235" t="s">
        <v>213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211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212</v>
      </c>
      <c r="D22" s="382">
        <f>D21/(E5+G5)</f>
        <v>47.329333333333331</v>
      </c>
    </row>
    <row r="24" spans="1:21">
      <c r="B24" s="547" t="s">
        <v>259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abSelected="1" topLeftCell="A22" zoomScaleNormal="100" workbookViewId="0">
      <selection activeCell="B39" sqref="B39:C39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245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201</v>
      </c>
      <c r="C7" s="285"/>
      <c r="D7" s="286"/>
    </row>
    <row r="8" spans="2:5" ht="14.4" thickBot="1">
      <c r="B8" s="287" t="s">
        <v>202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180</v>
      </c>
      <c r="D9" s="286"/>
      <c r="E9" s="286"/>
    </row>
    <row r="10" spans="2:5">
      <c r="B10" s="287" t="s">
        <v>78</v>
      </c>
      <c r="C10" s="289">
        <f>C8*C9/10</f>
        <v>720</v>
      </c>
      <c r="D10" s="286"/>
      <c r="E10" s="286"/>
    </row>
    <row r="11" spans="2:5" ht="14.4" thickBot="1">
      <c r="B11" s="290" t="s">
        <v>260</v>
      </c>
      <c r="C11" s="285"/>
      <c r="D11" s="286"/>
      <c r="E11" s="286"/>
    </row>
    <row r="12" spans="2:5" ht="14.4" thickBot="1">
      <c r="B12" s="287" t="s">
        <v>200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261</v>
      </c>
      <c r="C15" s="285"/>
      <c r="D15" s="286"/>
      <c r="E15" s="286"/>
    </row>
    <row r="16" spans="2:5" ht="14.4" thickBot="1">
      <c r="B16" s="287" t="s">
        <v>200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214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724.74400000000003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215</v>
      </c>
      <c r="C24" s="362">
        <v>1</v>
      </c>
    </row>
    <row r="25" spans="2:5">
      <c r="B25" s="287" t="s">
        <v>216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738.74400000000003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266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262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C9" sqref="C9:C16"/>
    </sheetView>
  </sheetViews>
  <sheetFormatPr defaultColWidth="8.81640625" defaultRowHeight="13.8"/>
  <cols>
    <col min="1" max="1" width="2.08984375" style="54" bestFit="1" customWidth="1"/>
    <col min="2" max="2" width="38.1796875" style="54" bestFit="1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203</v>
      </c>
      <c r="C7" s="489">
        <f>(('2-Dimensionamento'!G30*0.01)/12)</f>
        <v>73.190558333333328</v>
      </c>
    </row>
    <row r="8" spans="1:11">
      <c r="A8" s="57"/>
      <c r="B8" s="58" t="s">
        <v>264</v>
      </c>
      <c r="C8" s="305">
        <f>10.57/12</f>
        <v>0.88083333333333336</v>
      </c>
    </row>
    <row r="9" spans="1:11">
      <c r="A9" s="57"/>
      <c r="B9" s="58" t="s">
        <v>204</v>
      </c>
      <c r="C9" s="305">
        <f>((108.27*2)/12)</f>
        <v>18.044999999999998</v>
      </c>
    </row>
    <row r="10" spans="1:11">
      <c r="A10" s="57"/>
      <c r="B10" s="416" t="s">
        <v>205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206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207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208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27" customHeight="1">
      <c r="A14" s="57"/>
      <c r="B14" s="58" t="s">
        <v>209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1118.3773916666667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F20" sqref="F20"/>
    </sheetView>
  </sheetViews>
  <sheetFormatPr defaultRowHeight="13.8"/>
  <cols>
    <col min="8" max="8" width="8.81640625" customWidth="1"/>
  </cols>
  <sheetData>
    <row r="1" spans="1:8" ht="18.600000000000001" thickBot="1">
      <c r="A1" s="561" t="s">
        <v>246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222</v>
      </c>
      <c r="C6" s="448" t="s">
        <v>223</v>
      </c>
      <c r="D6" s="448" t="s">
        <v>224</v>
      </c>
      <c r="E6" s="469" t="s">
        <v>47</v>
      </c>
      <c r="F6" s="31"/>
      <c r="G6" s="31"/>
      <c r="H6" s="39"/>
    </row>
    <row r="7" spans="1:8" ht="14.4">
      <c r="A7" s="461"/>
      <c r="B7" s="470" t="s">
        <v>225</v>
      </c>
      <c r="C7" s="450">
        <v>2011</v>
      </c>
      <c r="D7" s="450">
        <v>40</v>
      </c>
      <c r="E7" s="471">
        <f>'2-Dimensionamento'!G30</f>
        <v>87828.67</v>
      </c>
      <c r="F7" s="31"/>
      <c r="G7" s="31"/>
      <c r="H7" s="39"/>
    </row>
    <row r="8" spans="1:8" ht="14.4">
      <c r="A8" s="461"/>
      <c r="B8" s="564" t="s">
        <v>226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227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228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229</v>
      </c>
      <c r="C11" s="565"/>
      <c r="D11" s="565"/>
      <c r="E11" s="491">
        <f>'2-Dimensionamento'!F11</f>
        <v>115</v>
      </c>
      <c r="F11" s="31"/>
      <c r="G11" s="31"/>
      <c r="H11" s="39"/>
    </row>
    <row r="12" spans="1:8" ht="15" thickBot="1">
      <c r="A12" s="461"/>
      <c r="B12" s="559" t="s">
        <v>230</v>
      </c>
      <c r="C12" s="560"/>
      <c r="D12" s="560"/>
      <c r="E12" s="473">
        <f>E11*E10</f>
        <v>2300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235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232</v>
      </c>
      <c r="E19" s="452" t="s">
        <v>233</v>
      </c>
      <c r="F19" s="451" t="s">
        <v>234</v>
      </c>
      <c r="G19" s="554" t="s">
        <v>231</v>
      </c>
      <c r="H19" s="555"/>
    </row>
    <row r="20" spans="1:8">
      <c r="A20" s="457"/>
      <c r="B20" s="475" t="s">
        <v>235</v>
      </c>
      <c r="C20" s="421"/>
      <c r="D20" s="453">
        <v>2.5</v>
      </c>
      <c r="E20" s="454">
        <v>6.46</v>
      </c>
      <c r="F20" s="421">
        <f>E11</f>
        <v>115</v>
      </c>
      <c r="G20" s="556">
        <f>F20/D20*E20*20</f>
        <v>5943.2000000000007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2022-12-22T17:45:25Z</cp:lastPrinted>
  <dcterms:created xsi:type="dcterms:W3CDTF">2013-07-18T12:26:35Z</dcterms:created>
  <dcterms:modified xsi:type="dcterms:W3CDTF">2023-01-06T13:20:34Z</dcterms:modified>
</cp:coreProperties>
</file>